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Downloads\"/>
    </mc:Choice>
  </mc:AlternateContent>
  <xr:revisionPtr revIDLastSave="0" documentId="13_ncr:1_{9F772CB2-E93C-49EF-83EF-D892E7146974}" xr6:coauthVersionLast="47" xr6:coauthVersionMax="47" xr10:uidLastSave="{00000000-0000-0000-0000-000000000000}"/>
  <bookViews>
    <workbookView xWindow="-110" yWindow="-110" windowWidth="19420" windowHeight="10300" activeTab="1" xr2:uid="{00000000-000D-0000-FFFF-FFFF00000000}"/>
  </bookViews>
  <sheets>
    <sheet name="Coffee Can fees" sheetId="1" state="hidden" r:id="rId1"/>
    <sheet name="Performance Fee Calculator" sheetId="2" r:id="rId2"/>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2" l="1"/>
  <c r="B39" i="2"/>
  <c r="B40" i="2"/>
  <c r="B41" i="2"/>
  <c r="B42" i="2"/>
  <c r="B34" i="2"/>
  <c r="B35" i="2" s="1"/>
  <c r="B36" i="2" s="1"/>
  <c r="B37" i="2" s="1"/>
  <c r="D16" i="2"/>
  <c r="D26" i="2" s="1"/>
  <c r="E14" i="2"/>
  <c r="F14" i="2" s="1"/>
  <c r="G14" i="2" s="1"/>
  <c r="H14" i="2" s="1"/>
  <c r="I14" i="2" s="1"/>
  <c r="J14" i="2" s="1"/>
  <c r="K14" i="2" s="1"/>
  <c r="L14" i="2" s="1"/>
  <c r="M14" i="2" s="1"/>
  <c r="D10" i="2"/>
  <c r="D8" i="1"/>
  <c r="I6" i="1"/>
  <c r="I7" i="1" s="1"/>
  <c r="D6" i="1"/>
  <c r="D7" i="1" s="1"/>
  <c r="D25" i="2" l="1"/>
  <c r="D24" i="2"/>
  <c r="D17" i="2"/>
  <c r="D18" i="2" s="1"/>
  <c r="D19" i="2" s="1"/>
  <c r="I8" i="1"/>
  <c r="I9" i="1" s="1"/>
  <c r="I10" i="1"/>
  <c r="J5" i="1" s="1"/>
  <c r="D9" i="1"/>
  <c r="D10" i="1" s="1"/>
  <c r="D20" i="2" l="1"/>
  <c r="D21" i="2"/>
  <c r="D22" i="2"/>
  <c r="J6" i="1"/>
  <c r="J7" i="1" s="1"/>
  <c r="E5" i="1"/>
  <c r="E8" i="1"/>
  <c r="D23" i="2" l="1"/>
  <c r="J8" i="1"/>
  <c r="J9" i="1" s="1"/>
  <c r="J10" i="1"/>
  <c r="E6" i="1"/>
  <c r="E7" i="1"/>
  <c r="D27" i="2" l="1"/>
  <c r="E9" i="1"/>
  <c r="E10" i="1" s="1"/>
  <c r="D28" i="2" l="1"/>
  <c r="E26" i="2"/>
  <c r="E24" i="2"/>
  <c r="E16" i="2" l="1"/>
  <c r="D29" i="2"/>
  <c r="E21" i="2" l="1"/>
  <c r="E25" i="2"/>
  <c r="E17" i="2"/>
  <c r="E18" i="2" s="1"/>
  <c r="E19" i="2" s="1"/>
  <c r="E20" i="2" l="1"/>
  <c r="E22" i="2"/>
  <c r="E23" i="2" l="1"/>
  <c r="E27" i="2" l="1"/>
  <c r="E28" i="2" l="1"/>
  <c r="F24" i="2"/>
  <c r="F26" i="2"/>
  <c r="E29" i="2" l="1"/>
  <c r="F16" i="2"/>
  <c r="F17" i="2" l="1"/>
  <c r="F18" i="2" s="1"/>
  <c r="F19" i="2" s="1"/>
  <c r="F21" i="2"/>
  <c r="F25" i="2"/>
  <c r="F22" i="2" l="1"/>
  <c r="F20" i="2"/>
  <c r="F23" i="2" s="1"/>
  <c r="F27" i="2" s="1"/>
  <c r="F28" i="2" l="1"/>
  <c r="G26" i="2"/>
  <c r="G24" i="2"/>
  <c r="G16" i="2" l="1"/>
  <c r="F29" i="2"/>
  <c r="G25" i="2" l="1"/>
  <c r="G17" i="2"/>
  <c r="G18" i="2" s="1"/>
  <c r="G19" i="2" s="1"/>
  <c r="G21" i="2"/>
  <c r="G20" i="2" l="1"/>
  <c r="G22" i="2"/>
  <c r="G23" i="2" l="1"/>
  <c r="G27" i="2" l="1"/>
  <c r="G28" i="2" l="1"/>
  <c r="H24" i="2" s="1"/>
  <c r="H26" i="2" l="1"/>
  <c r="G29" i="2"/>
  <c r="H16" i="2"/>
  <c r="H25" i="2" s="1"/>
  <c r="H21" i="2" l="1"/>
  <c r="H17" i="2"/>
  <c r="H18" i="2" s="1"/>
  <c r="H19" i="2" s="1"/>
  <c r="H22" i="2" l="1"/>
  <c r="H20" i="2"/>
  <c r="H23" i="2" l="1"/>
  <c r="H27" i="2" s="1"/>
  <c r="H28" i="2" s="1"/>
  <c r="I26" i="2" l="1"/>
  <c r="I24" i="2"/>
  <c r="H29" i="2"/>
  <c r="I16" i="2"/>
  <c r="I21" i="2" l="1"/>
  <c r="I17" i="2"/>
  <c r="I18" i="2" s="1"/>
  <c r="I19" i="2" s="1"/>
  <c r="I25" i="2"/>
  <c r="I20" i="2" l="1"/>
  <c r="I23" i="2" s="1"/>
  <c r="I22" i="2"/>
  <c r="I27" i="2" l="1"/>
  <c r="J24" i="2" l="1"/>
  <c r="J26" i="2"/>
  <c r="I28" i="2"/>
  <c r="J16" i="2" l="1"/>
  <c r="I29" i="2"/>
  <c r="J17" i="2" l="1"/>
  <c r="J18" i="2" s="1"/>
  <c r="J19" i="2" s="1"/>
  <c r="J21" i="2"/>
  <c r="J25" i="2"/>
  <c r="J22" i="2" l="1"/>
  <c r="J20" i="2"/>
  <c r="J23" i="2" l="1"/>
  <c r="J27" i="2" l="1"/>
  <c r="K26" i="2" l="1"/>
  <c r="K24" i="2"/>
  <c r="J28" i="2"/>
  <c r="K16" i="2" l="1"/>
  <c r="K25" i="2" s="1"/>
  <c r="J29" i="2"/>
  <c r="K17" i="2" l="1"/>
  <c r="K18" i="2" s="1"/>
  <c r="K19" i="2" s="1"/>
  <c r="K21" i="2"/>
  <c r="K22" i="2" l="1"/>
  <c r="K23" i="2" s="1"/>
  <c r="K20" i="2"/>
  <c r="K27" i="2" l="1"/>
  <c r="L24" i="2" l="1"/>
  <c r="L26" i="2"/>
  <c r="K28" i="2"/>
  <c r="K29" i="2" l="1"/>
  <c r="L16" i="2"/>
  <c r="L25" i="2" l="1"/>
  <c r="L17" i="2"/>
  <c r="L18" i="2" s="1"/>
  <c r="L19" i="2" s="1"/>
  <c r="L21" i="2"/>
  <c r="L20" i="2" l="1"/>
  <c r="L22" i="2"/>
  <c r="L23" i="2" l="1"/>
  <c r="L27" i="2" l="1"/>
  <c r="L28" i="2" l="1"/>
  <c r="M26" i="2" l="1"/>
  <c r="M24" i="2"/>
  <c r="L29" i="2"/>
  <c r="M16" i="2"/>
  <c r="M17" i="2" l="1"/>
  <c r="M18" i="2" s="1"/>
  <c r="M19" i="2" s="1"/>
  <c r="M21" i="2"/>
  <c r="M25" i="2"/>
  <c r="M20" i="2" l="1"/>
  <c r="M23" i="2" s="1"/>
  <c r="M22" i="2"/>
  <c r="M27" i="2" l="1"/>
  <c r="M28" i="2" s="1"/>
  <c r="M29" i="2" s="1"/>
</calcChain>
</file>

<file path=xl/sharedStrings.xml><?xml version="1.0" encoding="utf-8"?>
<sst xmlns="http://schemas.openxmlformats.org/spreadsheetml/2006/main" count="56" uniqueCount="50">
  <si>
    <t>Variable</t>
  </si>
  <si>
    <t>Fixed</t>
  </si>
  <si>
    <t>Profit</t>
  </si>
  <si>
    <t>Year</t>
  </si>
  <si>
    <t>Opening capital</t>
  </si>
  <si>
    <t>Add profit</t>
  </si>
  <si>
    <t>Pre- fees AUM</t>
  </si>
  <si>
    <t>Pree fees AUM</t>
  </si>
  <si>
    <t>Hurdle AUM</t>
  </si>
  <si>
    <t>Avg. AUM</t>
  </si>
  <si>
    <t>Fees</t>
  </si>
  <si>
    <t>Fees @ 2% of  Avg. AUM</t>
  </si>
  <si>
    <t>Ending AUM</t>
  </si>
  <si>
    <t>Assumptions</t>
  </si>
  <si>
    <t>Intial Capital Contribution</t>
  </si>
  <si>
    <t>Management Fee (%age per annum)</t>
  </si>
  <si>
    <t>Performance fee</t>
  </si>
  <si>
    <t>Catch up Rate of Return (%age per annum)</t>
  </si>
  <si>
    <t>Brokerage + STT (incl. GST) in bps</t>
  </si>
  <si>
    <t>Other Expenses  in bps</t>
  </si>
  <si>
    <t>Particulars</t>
  </si>
  <si>
    <t>Return</t>
  </si>
  <si>
    <t>Less: Other Expenses</t>
  </si>
  <si>
    <t>Less: Management Fees</t>
  </si>
  <si>
    <t>Base Capital</t>
  </si>
  <si>
    <t>Performance Fee</t>
  </si>
  <si>
    <t>% Portfolio return</t>
  </si>
  <si>
    <t>Notes</t>
  </si>
  <si>
    <t>Returns are assumed to be generated linearly through the year.</t>
  </si>
  <si>
    <t xml:space="preserve">Brokerage and transaction cost for the illustration purpose is charged on the Average AUM. However, Brokerage and Transaction cost are charged on basis the actuals trades. </t>
  </si>
  <si>
    <t>This is only a generic illustration, fees and charges shall be levied as per the terms and condition of their PMS agreement.</t>
  </si>
  <si>
    <t>Performance Fee Calculator</t>
  </si>
  <si>
    <t>Please change the cells marked in BLUE for various scenarios.</t>
  </si>
  <si>
    <t>Please change the % as per your fee structure.</t>
  </si>
  <si>
    <t>Add: Profit</t>
  </si>
  <si>
    <t>Opening AUM</t>
  </si>
  <si>
    <t>Notional AUM (with catch up %)</t>
  </si>
  <si>
    <t>Gross Portfolio value before deducting the Performance fee</t>
  </si>
  <si>
    <t>Gross Portfolio value at the end of the FY</t>
  </si>
  <si>
    <t xml:space="preserve">Capital Contributed / Assets Under Management </t>
  </si>
  <si>
    <t xml:space="preserve">Daily Weighted Average Assets Under Management </t>
  </si>
  <si>
    <t>Less: Brokerage/ STT/ GST</t>
  </si>
  <si>
    <t>Net Portfolio value/ AUM after deducting the Performance fee</t>
  </si>
  <si>
    <t>Other Expenses is charged on Daily Weighted Average Assets Under Management.</t>
  </si>
  <si>
    <t>In this illustration, Performance fee is assumed to be charged annually. However, the Portfolio Manager can charge fee at any frequency i.e. Quarterly, Semi-annually, Annually or at any other frequency as defined in the PMS agreement and as permitted under SEBI regulations.</t>
  </si>
  <si>
    <r>
      <t xml:space="preserve">Other expenses include Account opening fee, Franking notarization, Stamp duty, Custodian fee, Fund accounting charges, registrar and transfer agent fee, depository charges, stamp duty, audit fee, Bank charges legal and professional cost and </t>
    </r>
    <r>
      <rPr>
        <i/>
        <strike/>
        <sz val="11"/>
        <rFont val="Calibri"/>
        <family val="2"/>
        <scheme val="minor"/>
      </rPr>
      <t xml:space="preserve">incidental </t>
    </r>
    <r>
      <rPr>
        <i/>
        <sz val="11"/>
        <rFont val="Calibri"/>
        <family val="2"/>
        <scheme val="minor"/>
      </rPr>
      <t>other miscellaneous expenses, as stated in PMS Agreement and are charged on daily average AUM or at actuals as applicable. Here in fee calculator it is charged on Average AUM and considered as 7 bps, however it will be charged as per PMS Agreement and will be upto 0.5% of AUM</t>
    </r>
  </si>
  <si>
    <r>
      <t>Notional AUM is computed by multiplying the catch up rate with the maximum of Net value of the Portfolio at the end of the previous</t>
    </r>
    <r>
      <rPr>
        <i/>
        <sz val="11"/>
        <color theme="6"/>
        <rFont val="Calibri"/>
        <family val="2"/>
        <scheme val="minor"/>
      </rPr>
      <t xml:space="preserve"> </t>
    </r>
    <r>
      <rPr>
        <i/>
        <sz val="11"/>
        <color theme="1"/>
        <rFont val="Calibri"/>
        <family val="2"/>
        <scheme val="minor"/>
      </rPr>
      <t>year after all fees and expenses or High Watermark (Net of fees). Assuming performance fee is charged from the portfolio itself.</t>
    </r>
  </si>
  <si>
    <t>In the given illustration, High Watermark for the 1st Year is the Capital invested and from 2nd year onwards, if performance fee is charged, it’s the year end closing value after all charges and fees, else it remains the same. However, in actual, High Watermark and catch up rate of return is defined in the PMS agreement and may differ from this illustration.</t>
  </si>
  <si>
    <t>All Fees and charges are subject to GST &amp; applicable taxes.</t>
  </si>
  <si>
    <t>The above fee calculator shows the High Watermark to be carried forward in different scenario for equal and fair treatment to the investor.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</si>
</sst>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7" x14ac:knownFonts="1">
    <font>
      <sz val="11"/>
      <color theme="1"/>
      <name val="Calibri"/>
      <scheme val="minor"/>
    </font>
    <font>
      <sz val="11"/>
      <color theme="1"/>
      <name val="Calibri"/>
      <family val="2"/>
      <scheme val="minor"/>
    </font>
    <font>
      <b/>
      <sz val="11"/>
      <color theme="1"/>
      <name val="Calibri"/>
      <scheme val="minor"/>
    </font>
    <font>
      <sz val="9"/>
      <color theme="1"/>
      <name val="Calibri"/>
      <scheme val="minor"/>
    </font>
    <font>
      <sz val="11"/>
      <color indexed="2"/>
      <name val="Calibri"/>
      <scheme val="minor"/>
    </font>
    <font>
      <b/>
      <sz val="11"/>
      <color indexed="2"/>
      <name val="Calibri"/>
      <scheme val="minor"/>
    </font>
    <font>
      <sz val="11"/>
      <name val="Calibri"/>
      <scheme val="minor"/>
    </font>
    <font>
      <b/>
      <sz val="11"/>
      <name val="Calibri"/>
      <scheme val="minor"/>
    </font>
    <font>
      <sz val="11"/>
      <color theme="1"/>
      <name val="Calibri"/>
      <scheme val="minor"/>
    </font>
    <font>
      <b/>
      <i/>
      <sz val="11"/>
      <color theme="1"/>
      <name val="Aptos"/>
      <family val="2"/>
    </font>
    <font>
      <i/>
      <sz val="11"/>
      <color theme="1"/>
      <name val="Calibri"/>
      <family val="2"/>
      <scheme val="minor"/>
    </font>
    <font>
      <b/>
      <i/>
      <sz val="11"/>
      <color theme="1"/>
      <name val="Calibri"/>
      <family val="2"/>
      <scheme val="minor"/>
    </font>
    <font>
      <sz val="11"/>
      <name val="Calibri"/>
      <family val="2"/>
      <scheme val="minor"/>
    </font>
    <font>
      <b/>
      <sz val="11"/>
      <name val="Calibri"/>
      <family val="2"/>
      <scheme val="minor"/>
    </font>
    <font>
      <i/>
      <sz val="11"/>
      <name val="Calibri"/>
      <family val="2"/>
      <scheme val="minor"/>
    </font>
    <font>
      <i/>
      <strike/>
      <sz val="11"/>
      <name val="Calibri"/>
      <family val="2"/>
      <scheme val="minor"/>
    </font>
    <font>
      <i/>
      <sz val="11"/>
      <color theme="6"/>
      <name val="Calibri"/>
      <family val="2"/>
      <scheme val="minor"/>
    </font>
  </fonts>
  <fills count="6">
    <fill>
      <patternFill patternType="none"/>
    </fill>
    <fill>
      <patternFill patternType="gray125"/>
    </fill>
    <fill>
      <patternFill patternType="solid">
        <fgColor theme="0"/>
        <bgColor theme="0"/>
      </patternFill>
    </fill>
    <fill>
      <patternFill patternType="solid">
        <fgColor theme="0"/>
      </patternFill>
    </fill>
    <fill>
      <patternFill patternType="solid">
        <fgColor theme="8" tint="0.59999389629810485"/>
        <bgColor indexed="64"/>
      </patternFill>
    </fill>
    <fill>
      <patternFill patternType="solid">
        <fgColor theme="2" tint="-9.9978637043366805E-2"/>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s>
  <cellStyleXfs count="2">
    <xf numFmtId="0" fontId="0" fillId="0" borderId="0"/>
    <xf numFmtId="164" fontId="8" fillId="0" borderId="0" applyFont="0" applyFill="0" applyBorder="0" applyProtection="0"/>
  </cellStyleXfs>
  <cellXfs count="66">
    <xf numFmtId="0" fontId="0" fillId="0" borderId="0" xfId="0"/>
    <xf numFmtId="0" fontId="2" fillId="0" borderId="0" xfId="0" applyFont="1"/>
    <xf numFmtId="0" fontId="2" fillId="0" borderId="1" xfId="0" applyFont="1" applyBorder="1"/>
    <xf numFmtId="9" fontId="2" fillId="0" borderId="1" xfId="0" applyNumberFormat="1" applyFont="1" applyBorder="1"/>
    <xf numFmtId="10" fontId="2" fillId="0" borderId="1" xfId="0" applyNumberFormat="1" applyFont="1" applyBorder="1"/>
    <xf numFmtId="0" fontId="0" fillId="0" borderId="1" xfId="0" applyBorder="1"/>
    <xf numFmtId="0" fontId="3" fillId="0" borderId="0" xfId="0" applyFont="1" applyAlignment="1">
      <alignment vertical="center" wrapText="1"/>
    </xf>
    <xf numFmtId="0" fontId="4" fillId="0" borderId="0" xfId="0" applyFont="1"/>
    <xf numFmtId="165" fontId="5" fillId="3" borderId="0" xfId="1" applyNumberFormat="1" applyFont="1" applyFill="1"/>
    <xf numFmtId="3" fontId="0" fillId="0" borderId="0" xfId="0" applyNumberFormat="1"/>
    <xf numFmtId="3" fontId="2" fillId="0" borderId="0" xfId="0" applyNumberFormat="1" applyFont="1"/>
    <xf numFmtId="0" fontId="2" fillId="3" borderId="0" xfId="0" applyFont="1" applyFill="1"/>
    <xf numFmtId="0" fontId="0" fillId="3" borderId="0" xfId="0" applyFill="1"/>
    <xf numFmtId="3" fontId="0" fillId="3" borderId="0" xfId="0" applyNumberFormat="1" applyFill="1"/>
    <xf numFmtId="0" fontId="10" fillId="0" borderId="0" xfId="0" applyFont="1" applyAlignment="1">
      <alignment horizontal="center"/>
    </xf>
    <xf numFmtId="0" fontId="11" fillId="0" borderId="0" xfId="0" applyFont="1"/>
    <xf numFmtId="0" fontId="2" fillId="0" borderId="0" xfId="0" applyFont="1" applyAlignment="1">
      <alignment vertical="center" wrapText="1"/>
    </xf>
    <xf numFmtId="165" fontId="2" fillId="0" borderId="0" xfId="1" applyNumberFormat="1" applyFont="1" applyBorder="1"/>
    <xf numFmtId="0" fontId="10" fillId="0" borderId="0" xfId="0" applyFont="1"/>
    <xf numFmtId="0" fontId="2" fillId="0" borderId="18" xfId="0" applyFont="1" applyBorder="1" applyAlignment="1">
      <alignment horizontal="center" vertical="center"/>
    </xf>
    <xf numFmtId="0" fontId="2" fillId="0" borderId="19" xfId="0" applyFont="1" applyBorder="1" applyAlignment="1">
      <alignment horizontal="center" vertical="center"/>
    </xf>
    <xf numFmtId="10" fontId="2" fillId="4" borderId="15" xfId="0" applyNumberFormat="1" applyFont="1" applyFill="1" applyBorder="1" applyAlignment="1">
      <alignment horizontal="center" vertical="center"/>
    </xf>
    <xf numFmtId="10" fontId="2" fillId="4" borderId="16" xfId="0" applyNumberFormat="1" applyFont="1" applyFill="1" applyBorder="1" applyAlignment="1">
      <alignment horizontal="center" vertical="center"/>
    </xf>
    <xf numFmtId="3" fontId="0" fillId="3" borderId="12" xfId="1" applyNumberFormat="1" applyFont="1" applyFill="1" applyBorder="1" applyAlignment="1">
      <alignment horizontal="center" vertical="center"/>
    </xf>
    <xf numFmtId="3" fontId="0" fillId="0" borderId="12" xfId="1" applyNumberFormat="1" applyFont="1" applyBorder="1" applyAlignment="1">
      <alignment horizontal="center" vertical="center"/>
    </xf>
    <xf numFmtId="3" fontId="0" fillId="0" borderId="8" xfId="1" applyNumberFormat="1" applyFont="1" applyBorder="1" applyAlignment="1">
      <alignment horizontal="center" vertical="center"/>
    </xf>
    <xf numFmtId="3" fontId="0" fillId="0" borderId="1" xfId="1" applyNumberFormat="1" applyFont="1" applyBorder="1" applyAlignment="1">
      <alignment horizontal="center" vertical="center"/>
    </xf>
    <xf numFmtId="3" fontId="0" fillId="0" borderId="11" xfId="1" applyNumberFormat="1" applyFont="1" applyBorder="1" applyAlignment="1">
      <alignment horizontal="center" vertical="center"/>
    </xf>
    <xf numFmtId="3" fontId="6" fillId="0" borderId="1" xfId="1" applyNumberFormat="1" applyFont="1" applyBorder="1" applyAlignment="1">
      <alignment horizontal="center" vertical="center"/>
    </xf>
    <xf numFmtId="3" fontId="6" fillId="0" borderId="11" xfId="1" applyNumberFormat="1" applyFont="1" applyBorder="1" applyAlignment="1">
      <alignment horizontal="center" vertical="center"/>
    </xf>
    <xf numFmtId="3" fontId="7" fillId="0" borderId="1" xfId="1" applyNumberFormat="1" applyFont="1" applyBorder="1" applyAlignment="1">
      <alignment horizontal="center" vertical="center"/>
    </xf>
    <xf numFmtId="3" fontId="7" fillId="0" borderId="11" xfId="1" applyNumberFormat="1" applyFont="1" applyBorder="1" applyAlignment="1">
      <alignment horizontal="center" vertical="center"/>
    </xf>
    <xf numFmtId="3" fontId="6" fillId="5" borderId="1" xfId="1" applyNumberFormat="1" applyFont="1" applyFill="1" applyBorder="1" applyAlignment="1">
      <alignment horizontal="center" vertical="center"/>
    </xf>
    <xf numFmtId="3" fontId="6" fillId="5" borderId="11" xfId="1" applyNumberFormat="1" applyFont="1" applyFill="1" applyBorder="1" applyAlignment="1">
      <alignment horizontal="center" vertical="center"/>
    </xf>
    <xf numFmtId="10" fontId="7" fillId="0" borderId="13" xfId="0" applyNumberFormat="1" applyFont="1" applyBorder="1" applyAlignment="1">
      <alignment horizontal="center" vertical="center"/>
    </xf>
    <xf numFmtId="10" fontId="7" fillId="0" borderId="9" xfId="0" applyNumberFormat="1" applyFont="1" applyBorder="1" applyAlignment="1">
      <alignment horizontal="center" vertical="center"/>
    </xf>
    <xf numFmtId="0" fontId="2" fillId="0" borderId="17" xfId="0" applyFont="1" applyBorder="1" applyAlignment="1">
      <alignment horizontal="left" vertical="center"/>
    </xf>
    <xf numFmtId="0" fontId="2" fillId="0" borderId="14" xfId="0" applyFont="1" applyBorder="1" applyAlignment="1">
      <alignment horizontal="left" vertical="center"/>
    </xf>
    <xf numFmtId="0" fontId="1" fillId="0" borderId="20" xfId="0" applyFont="1" applyBorder="1" applyAlignment="1">
      <alignment horizontal="left" vertical="center"/>
    </xf>
    <xf numFmtId="0" fontId="1" fillId="0" borderId="6" xfId="0" applyFont="1" applyBorder="1" applyAlignment="1">
      <alignment horizontal="left" vertical="center"/>
    </xf>
    <xf numFmtId="0" fontId="12" fillId="0" borderId="6" xfId="0" applyFont="1" applyBorder="1" applyAlignment="1">
      <alignment horizontal="left" vertical="center"/>
    </xf>
    <xf numFmtId="0" fontId="12" fillId="0" borderId="6" xfId="0" applyFont="1" applyBorder="1" applyAlignment="1">
      <alignment horizontal="left" vertical="center" wrapText="1"/>
    </xf>
    <xf numFmtId="0" fontId="6" fillId="0" borderId="6" xfId="0" applyFont="1" applyBorder="1" applyAlignment="1">
      <alignment horizontal="left" vertical="center"/>
    </xf>
    <xf numFmtId="0" fontId="13" fillId="0" borderId="6" xfId="0" applyFont="1" applyBorder="1" applyAlignment="1">
      <alignment horizontal="left" vertical="center" wrapText="1"/>
    </xf>
    <xf numFmtId="0" fontId="12" fillId="5" borderId="6" xfId="0" applyFont="1" applyFill="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10" fillId="0" borderId="1" xfId="0" applyFont="1"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center" vertical="center"/>
    </xf>
    <xf numFmtId="10" fontId="2" fillId="0" borderId="11" xfId="0" applyNumberFormat="1" applyFont="1" applyBorder="1" applyAlignment="1">
      <alignment horizontal="center" vertical="center"/>
    </xf>
    <xf numFmtId="9" fontId="2" fillId="4" borderId="11" xfId="0" applyNumberFormat="1" applyFont="1" applyFill="1" applyBorder="1" applyAlignment="1">
      <alignment horizontal="center" vertical="center"/>
    </xf>
    <xf numFmtId="9" fontId="2" fillId="2" borderId="11" xfId="0" applyNumberFormat="1" applyFont="1" applyFill="1" applyBorder="1" applyAlignment="1">
      <alignment horizontal="center" vertical="center"/>
    </xf>
    <xf numFmtId="3" fontId="2" fillId="0" borderId="11" xfId="1" applyNumberFormat="1" applyFont="1" applyBorder="1" applyAlignment="1">
      <alignment horizontal="center" vertical="center"/>
    </xf>
    <xf numFmtId="3" fontId="2" fillId="0" borderId="9" xfId="1" applyNumberFormat="1" applyFont="1" applyBorder="1" applyAlignment="1">
      <alignment horizontal="center" vertical="center"/>
    </xf>
    <xf numFmtId="0" fontId="14" fillId="0" borderId="1" xfId="0" applyFont="1" applyBorder="1" applyAlignment="1">
      <alignment vertical="center" wrapText="1"/>
    </xf>
    <xf numFmtId="0" fontId="10" fillId="0" borderId="0" xfId="0" applyFont="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10" fillId="4" borderId="2" xfId="0" applyFont="1" applyFill="1" applyBorder="1" applyAlignment="1">
      <alignment horizontal="center"/>
    </xf>
    <xf numFmtId="0" fontId="10" fillId="4" borderId="3" xfId="0" applyFont="1" applyFill="1" applyBorder="1" applyAlignment="1">
      <alignment horizontal="center"/>
    </xf>
    <xf numFmtId="0" fontId="10" fillId="4" borderId="4"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J10"/>
  <sheetViews>
    <sheetView workbookViewId="0">
      <selection activeCell="A7" sqref="A7"/>
    </sheetView>
  </sheetViews>
  <sheetFormatPr defaultRowHeight="14.5" x14ac:dyDescent="0.35"/>
  <cols>
    <col min="3" max="3" width="15" bestFit="1" customWidth="1"/>
    <col min="8" max="8" width="22.81640625" bestFit="1" customWidth="1"/>
  </cols>
  <sheetData>
    <row r="2" spans="3:10" x14ac:dyDescent="0.35">
      <c r="C2" s="1" t="s">
        <v>0</v>
      </c>
      <c r="H2" s="1" t="s">
        <v>1</v>
      </c>
    </row>
    <row r="3" spans="3:10" s="1" customFormat="1" x14ac:dyDescent="0.35">
      <c r="C3" s="2" t="s">
        <v>2</v>
      </c>
      <c r="D3" s="3">
        <v>0.2</v>
      </c>
      <c r="E3" s="4">
        <v>0.22500000000000001</v>
      </c>
      <c r="H3" s="2" t="s">
        <v>2</v>
      </c>
      <c r="I3" s="3">
        <v>0.05</v>
      </c>
      <c r="J3" s="3">
        <v>0.25</v>
      </c>
    </row>
    <row r="4" spans="3:10" s="1" customFormat="1" x14ac:dyDescent="0.35">
      <c r="C4" s="2" t="s">
        <v>3</v>
      </c>
      <c r="D4" s="2">
        <v>1</v>
      </c>
      <c r="E4" s="2">
        <v>2</v>
      </c>
      <c r="H4" s="2" t="s">
        <v>3</v>
      </c>
      <c r="I4" s="2">
        <v>1</v>
      </c>
      <c r="J4" s="2">
        <v>2</v>
      </c>
    </row>
    <row r="5" spans="3:10" x14ac:dyDescent="0.35">
      <c r="C5" s="5" t="s">
        <v>4</v>
      </c>
      <c r="D5" s="5">
        <v>100</v>
      </c>
      <c r="E5" s="5">
        <f>+D10</f>
        <v>117.6</v>
      </c>
      <c r="H5" s="5" t="s">
        <v>4</v>
      </c>
      <c r="I5" s="5">
        <v>100</v>
      </c>
      <c r="J5" s="5">
        <f>+I10</f>
        <v>102.95</v>
      </c>
    </row>
    <row r="6" spans="3:10" x14ac:dyDescent="0.35">
      <c r="C6" s="5" t="s">
        <v>5</v>
      </c>
      <c r="D6" s="5">
        <f>+D5*D3</f>
        <v>20</v>
      </c>
      <c r="E6" s="5">
        <f>+E5*E3</f>
        <v>26.46</v>
      </c>
      <c r="H6" s="5" t="s">
        <v>5</v>
      </c>
      <c r="I6" s="5">
        <f>+I5*I3</f>
        <v>5</v>
      </c>
      <c r="J6" s="5">
        <f>+J5*J3</f>
        <v>25.737500000000001</v>
      </c>
    </row>
    <row r="7" spans="3:10" x14ac:dyDescent="0.35">
      <c r="C7" s="5" t="s">
        <v>6</v>
      </c>
      <c r="D7" s="5">
        <f>SUM(D5:D6)</f>
        <v>120</v>
      </c>
      <c r="E7" s="5">
        <f>SUM(E5:E6)</f>
        <v>144.06</v>
      </c>
      <c r="H7" s="5" t="s">
        <v>7</v>
      </c>
      <c r="I7" s="5">
        <f>+I5+I6</f>
        <v>105</v>
      </c>
      <c r="J7" s="5">
        <f>+J5+J6</f>
        <v>128.6875</v>
      </c>
    </row>
    <row r="8" spans="3:10" x14ac:dyDescent="0.35">
      <c r="C8" s="5" t="s">
        <v>8</v>
      </c>
      <c r="D8" s="5">
        <f>+D5*1.08</f>
        <v>108</v>
      </c>
      <c r="E8" s="5">
        <f>+MAX(D8,D10)*1.08</f>
        <v>127.008</v>
      </c>
      <c r="H8" s="5" t="s">
        <v>9</v>
      </c>
      <c r="I8" s="5">
        <f>+(I7+I5)/2</f>
        <v>102.5</v>
      </c>
      <c r="J8" s="5">
        <f>+(J7+J5)/2</f>
        <v>115.81874999999999</v>
      </c>
    </row>
    <row r="9" spans="3:10" s="1" customFormat="1" x14ac:dyDescent="0.35">
      <c r="C9" s="2" t="s">
        <v>10</v>
      </c>
      <c r="D9" s="2">
        <f>+MAX(D7-D8,0)*0.2</f>
        <v>2.4000000000000004</v>
      </c>
      <c r="E9" s="2">
        <f>+MAX(E7-E8,0)*0.2</f>
        <v>3.4104000000000014</v>
      </c>
      <c r="H9" s="2" t="s">
        <v>11</v>
      </c>
      <c r="I9" s="2">
        <f>+I8*0.02</f>
        <v>2.0499999999999998</v>
      </c>
      <c r="J9" s="2">
        <f>+J8*0.02</f>
        <v>2.3163749999999999</v>
      </c>
    </row>
    <row r="10" spans="3:10" x14ac:dyDescent="0.35">
      <c r="C10" s="5" t="s">
        <v>12</v>
      </c>
      <c r="D10" s="5">
        <f>+D7-D9</f>
        <v>117.6</v>
      </c>
      <c r="E10" s="5">
        <f>+E7-E9</f>
        <v>140.64959999999999</v>
      </c>
      <c r="H10" s="5" t="s">
        <v>12</v>
      </c>
      <c r="I10" s="5">
        <f>+I7-I9</f>
        <v>102.95</v>
      </c>
      <c r="J10" s="5">
        <f>+J7-J9</f>
        <v>126.37112500000001</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42"/>
  <sheetViews>
    <sheetView showGridLines="0" tabSelected="1" zoomScale="96" zoomScaleNormal="96" workbookViewId="0">
      <selection activeCell="I6" sqref="I6"/>
    </sheetView>
  </sheetViews>
  <sheetFormatPr defaultRowHeight="14.5" x14ac:dyDescent="0.35"/>
  <cols>
    <col min="1" max="1" width="3.81640625" customWidth="1"/>
    <col min="2" max="2" width="4.81640625" customWidth="1"/>
    <col min="3" max="3" width="45.1796875" customWidth="1"/>
    <col min="4" max="4" width="16.36328125" customWidth="1"/>
    <col min="5" max="13" width="10.453125" bestFit="1" customWidth="1"/>
    <col min="14" max="14" width="13.1796875" customWidth="1"/>
  </cols>
  <sheetData>
    <row r="1" spans="3:13" ht="15" thickBot="1" x14ac:dyDescent="0.4">
      <c r="C1" s="60" t="s">
        <v>31</v>
      </c>
      <c r="D1" s="61"/>
      <c r="E1" s="61"/>
      <c r="F1" s="61"/>
      <c r="G1" s="61"/>
      <c r="H1" s="61"/>
      <c r="I1" s="61"/>
      <c r="J1" s="61"/>
      <c r="K1" s="61"/>
      <c r="L1" s="61"/>
      <c r="M1" s="62"/>
    </row>
    <row r="2" spans="3:13" ht="15" thickBot="1" x14ac:dyDescent="0.4">
      <c r="C2" s="63" t="s">
        <v>32</v>
      </c>
      <c r="D2" s="64"/>
      <c r="E2" s="64"/>
      <c r="F2" s="64"/>
      <c r="G2" s="64"/>
      <c r="H2" s="64"/>
      <c r="I2" s="64"/>
      <c r="J2" s="64"/>
      <c r="K2" s="64"/>
      <c r="L2" s="64"/>
      <c r="M2" s="65"/>
    </row>
    <row r="3" spans="3:13" x14ac:dyDescent="0.35">
      <c r="C3" s="14"/>
      <c r="D3" s="14"/>
      <c r="E3" s="14"/>
      <c r="F3" s="14"/>
      <c r="G3" s="14"/>
      <c r="H3" s="14"/>
      <c r="I3" s="14"/>
      <c r="J3" s="14"/>
      <c r="K3" s="14"/>
      <c r="L3" s="14"/>
      <c r="M3" s="14"/>
    </row>
    <row r="4" spans="3:13" ht="15" thickBot="1" x14ac:dyDescent="0.4">
      <c r="C4" s="15" t="s">
        <v>13</v>
      </c>
    </row>
    <row r="5" spans="3:13" x14ac:dyDescent="0.35">
      <c r="C5" s="48" t="s">
        <v>14</v>
      </c>
      <c r="D5" s="52">
        <v>5000000</v>
      </c>
    </row>
    <row r="6" spans="3:13" ht="14.5" customHeight="1" x14ac:dyDescent="0.35">
      <c r="C6" s="49" t="s">
        <v>15</v>
      </c>
      <c r="D6" s="53">
        <v>0</v>
      </c>
      <c r="E6" s="16"/>
      <c r="F6" s="16"/>
      <c r="G6" s="16"/>
      <c r="H6" s="6"/>
      <c r="I6" s="6"/>
      <c r="J6" s="6"/>
      <c r="K6" s="6"/>
      <c r="L6" s="6"/>
      <c r="M6" s="6"/>
    </row>
    <row r="7" spans="3:13" x14ac:dyDescent="0.35">
      <c r="C7" s="50" t="s">
        <v>16</v>
      </c>
      <c r="D7" s="54">
        <v>0.2</v>
      </c>
      <c r="E7" s="59" t="s">
        <v>33</v>
      </c>
      <c r="F7" s="59"/>
      <c r="G7" s="59"/>
      <c r="H7" s="59"/>
      <c r="I7" s="6"/>
      <c r="J7" s="6"/>
      <c r="K7" s="6"/>
      <c r="L7" s="6"/>
      <c r="M7" s="6"/>
    </row>
    <row r="8" spans="3:13" x14ac:dyDescent="0.35">
      <c r="C8" s="49" t="s">
        <v>17</v>
      </c>
      <c r="D8" s="55">
        <v>0.08</v>
      </c>
      <c r="E8" s="16"/>
      <c r="F8" s="16"/>
      <c r="G8" s="16"/>
      <c r="H8" s="6"/>
      <c r="I8" s="6"/>
      <c r="J8" s="6"/>
      <c r="K8" s="6"/>
      <c r="L8" s="6"/>
      <c r="M8" s="6"/>
    </row>
    <row r="9" spans="3:13" x14ac:dyDescent="0.35">
      <c r="C9" s="49" t="s">
        <v>18</v>
      </c>
      <c r="D9" s="56">
        <v>16</v>
      </c>
    </row>
    <row r="10" spans="3:13" ht="15" thickBot="1" x14ac:dyDescent="0.4">
      <c r="C10" s="51" t="s">
        <v>19</v>
      </c>
      <c r="D10" s="57">
        <f>6*1.18</f>
        <v>7.08</v>
      </c>
    </row>
    <row r="11" spans="3:13" x14ac:dyDescent="0.35">
      <c r="D11" s="17"/>
    </row>
    <row r="12" spans="3:13" x14ac:dyDescent="0.35">
      <c r="C12" s="7"/>
      <c r="D12" s="8"/>
    </row>
    <row r="13" spans="3:13" ht="15" thickBot="1" x14ac:dyDescent="0.4">
      <c r="C13" s="15" t="s">
        <v>20</v>
      </c>
    </row>
    <row r="14" spans="3:13" ht="15" thickBot="1" x14ac:dyDescent="0.4">
      <c r="C14" s="36" t="s">
        <v>3</v>
      </c>
      <c r="D14" s="19">
        <v>1</v>
      </c>
      <c r="E14" s="19">
        <f>+D14+1</f>
        <v>2</v>
      </c>
      <c r="F14" s="19">
        <f t="shared" ref="F14:M14" si="0">+E14+1</f>
        <v>3</v>
      </c>
      <c r="G14" s="19">
        <f t="shared" si="0"/>
        <v>4</v>
      </c>
      <c r="H14" s="19">
        <f t="shared" si="0"/>
        <v>5</v>
      </c>
      <c r="I14" s="19">
        <f t="shared" si="0"/>
        <v>6</v>
      </c>
      <c r="J14" s="19">
        <f t="shared" si="0"/>
        <v>7</v>
      </c>
      <c r="K14" s="19">
        <f t="shared" si="0"/>
        <v>8</v>
      </c>
      <c r="L14" s="19">
        <f t="shared" si="0"/>
        <v>9</v>
      </c>
      <c r="M14" s="20">
        <f t="shared" si="0"/>
        <v>10</v>
      </c>
    </row>
    <row r="15" spans="3:13" ht="15" thickBot="1" x14ac:dyDescent="0.4">
      <c r="C15" s="37" t="s">
        <v>21</v>
      </c>
      <c r="D15" s="21">
        <v>-0.2</v>
      </c>
      <c r="E15" s="21">
        <v>0.4</v>
      </c>
      <c r="F15" s="21">
        <v>0</v>
      </c>
      <c r="G15" s="21">
        <v>0.25</v>
      </c>
      <c r="H15" s="21">
        <v>0.1</v>
      </c>
      <c r="I15" s="21">
        <v>-0.05</v>
      </c>
      <c r="J15" s="21">
        <v>0.18</v>
      </c>
      <c r="K15" s="21">
        <v>0.12</v>
      </c>
      <c r="L15" s="21">
        <v>0.15</v>
      </c>
      <c r="M15" s="22">
        <v>0.2</v>
      </c>
    </row>
    <row r="16" spans="3:13" x14ac:dyDescent="0.35">
      <c r="C16" s="38" t="s">
        <v>39</v>
      </c>
      <c r="D16" s="23">
        <f>D5</f>
        <v>5000000</v>
      </c>
      <c r="E16" s="24">
        <f t="shared" ref="E16:M16" si="1">+D28</f>
        <v>3989614</v>
      </c>
      <c r="F16" s="24">
        <f t="shared" si="1"/>
        <v>5574974.8944079997</v>
      </c>
      <c r="G16" s="24">
        <f t="shared" si="1"/>
        <v>5562107.8523517065</v>
      </c>
      <c r="H16" s="24">
        <f t="shared" si="1"/>
        <v>6802444.8000000007</v>
      </c>
      <c r="I16" s="24">
        <f t="shared" si="1"/>
        <v>7346640.3840000015</v>
      </c>
      <c r="J16" s="24">
        <f t="shared" si="1"/>
        <v>6962646.1844090894</v>
      </c>
      <c r="K16" s="24">
        <f t="shared" si="1"/>
        <v>8198850.0891585546</v>
      </c>
      <c r="L16" s="24">
        <f t="shared" si="1"/>
        <v>9163002.064243244</v>
      </c>
      <c r="M16" s="25">
        <f t="shared" si="1"/>
        <v>9995023.1355221663</v>
      </c>
    </row>
    <row r="17" spans="3:14" x14ac:dyDescent="0.35">
      <c r="C17" s="39" t="s">
        <v>34</v>
      </c>
      <c r="D17" s="26">
        <f t="shared" ref="D17:M17" si="2">+D16*D15</f>
        <v>-1000000</v>
      </c>
      <c r="E17" s="26">
        <f t="shared" si="2"/>
        <v>1595845.6</v>
      </c>
      <c r="F17" s="26">
        <f t="shared" si="2"/>
        <v>0</v>
      </c>
      <c r="G17" s="26">
        <f t="shared" si="2"/>
        <v>1390526.9630879266</v>
      </c>
      <c r="H17" s="26">
        <f t="shared" si="2"/>
        <v>680244.4800000001</v>
      </c>
      <c r="I17" s="26">
        <f t="shared" si="2"/>
        <v>-367332.0192000001</v>
      </c>
      <c r="J17" s="26">
        <f t="shared" si="2"/>
        <v>1253276.313193636</v>
      </c>
      <c r="K17" s="26">
        <f t="shared" si="2"/>
        <v>983862.01069902652</v>
      </c>
      <c r="L17" s="26">
        <f t="shared" si="2"/>
        <v>1374450.3096364865</v>
      </c>
      <c r="M17" s="27">
        <f t="shared" si="2"/>
        <v>1999004.6271044333</v>
      </c>
    </row>
    <row r="18" spans="3:14" x14ac:dyDescent="0.35">
      <c r="C18" s="40" t="s">
        <v>38</v>
      </c>
      <c r="D18" s="28">
        <f>SUM(D16:D17)</f>
        <v>4000000</v>
      </c>
      <c r="E18" s="28">
        <f t="shared" ref="E18:M18" si="3">SUM(E16:E17)</f>
        <v>5585459.5999999996</v>
      </c>
      <c r="F18" s="28">
        <f t="shared" si="3"/>
        <v>5574974.8944079997</v>
      </c>
      <c r="G18" s="28">
        <f t="shared" si="3"/>
        <v>6952634.8154396331</v>
      </c>
      <c r="H18" s="28">
        <f t="shared" si="3"/>
        <v>7482689.2800000012</v>
      </c>
      <c r="I18" s="28">
        <f t="shared" si="3"/>
        <v>6979308.3648000015</v>
      </c>
      <c r="J18" s="28">
        <f t="shared" si="3"/>
        <v>8215922.4976027254</v>
      </c>
      <c r="K18" s="28">
        <f t="shared" si="3"/>
        <v>9182712.0998575818</v>
      </c>
      <c r="L18" s="28">
        <f t="shared" si="3"/>
        <v>10537452.373879731</v>
      </c>
      <c r="M18" s="29">
        <f t="shared" si="3"/>
        <v>11994027.7626266</v>
      </c>
    </row>
    <row r="19" spans="3:14" x14ac:dyDescent="0.35">
      <c r="C19" s="41" t="s">
        <v>40</v>
      </c>
      <c r="D19" s="28">
        <f>AVERAGE(D16,D18)</f>
        <v>4500000</v>
      </c>
      <c r="E19" s="28">
        <f t="shared" ref="E19:M19" si="4">AVERAGE(E16,E18)</f>
        <v>4787536.8</v>
      </c>
      <c r="F19" s="28">
        <f t="shared" si="4"/>
        <v>5574974.8944079997</v>
      </c>
      <c r="G19" s="28">
        <f t="shared" si="4"/>
        <v>6257371.3338956703</v>
      </c>
      <c r="H19" s="28">
        <f t="shared" si="4"/>
        <v>7142567.040000001</v>
      </c>
      <c r="I19" s="28">
        <f t="shared" si="4"/>
        <v>7162974.374400001</v>
      </c>
      <c r="J19" s="28">
        <f t="shared" si="4"/>
        <v>7589284.3410059074</v>
      </c>
      <c r="K19" s="28">
        <f t="shared" si="4"/>
        <v>8690781.0945080686</v>
      </c>
      <c r="L19" s="28">
        <f t="shared" si="4"/>
        <v>9850227.2190614864</v>
      </c>
      <c r="M19" s="29">
        <f t="shared" si="4"/>
        <v>10994525.449074384</v>
      </c>
    </row>
    <row r="20" spans="3:14" x14ac:dyDescent="0.35">
      <c r="C20" s="40" t="s">
        <v>41</v>
      </c>
      <c r="D20" s="28">
        <f t="shared" ref="D20:M20" si="5">D19*$D$9/10000</f>
        <v>7200</v>
      </c>
      <c r="E20" s="28">
        <f t="shared" si="5"/>
        <v>7660.0588799999996</v>
      </c>
      <c r="F20" s="28">
        <f t="shared" si="5"/>
        <v>8919.9598310527999</v>
      </c>
      <c r="G20" s="28">
        <f t="shared" si="5"/>
        <v>10011.794134233072</v>
      </c>
      <c r="H20" s="28">
        <f t="shared" si="5"/>
        <v>11428.107264000002</v>
      </c>
      <c r="I20" s="28">
        <f t="shared" si="5"/>
        <v>11460.758999040001</v>
      </c>
      <c r="J20" s="28">
        <f t="shared" si="5"/>
        <v>12142.854945609452</v>
      </c>
      <c r="K20" s="28">
        <f t="shared" si="5"/>
        <v>13905.24975121291</v>
      </c>
      <c r="L20" s="28">
        <f t="shared" si="5"/>
        <v>15760.363550498378</v>
      </c>
      <c r="M20" s="29">
        <f t="shared" si="5"/>
        <v>17591.240718519013</v>
      </c>
    </row>
    <row r="21" spans="3:14" x14ac:dyDescent="0.35">
      <c r="C21" s="42" t="s">
        <v>22</v>
      </c>
      <c r="D21" s="28">
        <f>D19*$D$10/10000</f>
        <v>3186</v>
      </c>
      <c r="E21" s="28">
        <f t="shared" ref="E21:M21" si="6">E16*$D$10/10000</f>
        <v>2824.6467120000002</v>
      </c>
      <c r="F21" s="28">
        <f t="shared" si="6"/>
        <v>3947.0822252408639</v>
      </c>
      <c r="G21" s="28">
        <f t="shared" si="6"/>
        <v>3937.9723594650081</v>
      </c>
      <c r="H21" s="28">
        <f t="shared" si="6"/>
        <v>4816.1309184000011</v>
      </c>
      <c r="I21" s="28">
        <f t="shared" si="6"/>
        <v>5201.4213918720015</v>
      </c>
      <c r="J21" s="28">
        <f t="shared" si="6"/>
        <v>4929.5534985616359</v>
      </c>
      <c r="K21" s="28">
        <f t="shared" si="6"/>
        <v>5804.7858631242561</v>
      </c>
      <c r="L21" s="28">
        <f t="shared" si="6"/>
        <v>6487.4054614842171</v>
      </c>
      <c r="M21" s="29">
        <f t="shared" si="6"/>
        <v>7076.4763799496932</v>
      </c>
    </row>
    <row r="22" spans="3:14" x14ac:dyDescent="0.35">
      <c r="C22" s="40" t="s">
        <v>23</v>
      </c>
      <c r="D22" s="28">
        <f t="shared" ref="D22:M22" si="7">D19*$D$6</f>
        <v>0</v>
      </c>
      <c r="E22" s="28">
        <f t="shared" si="7"/>
        <v>0</v>
      </c>
      <c r="F22" s="28">
        <f t="shared" si="7"/>
        <v>0</v>
      </c>
      <c r="G22" s="28">
        <f t="shared" si="7"/>
        <v>0</v>
      </c>
      <c r="H22" s="28">
        <f t="shared" si="7"/>
        <v>0</v>
      </c>
      <c r="I22" s="28">
        <f t="shared" si="7"/>
        <v>0</v>
      </c>
      <c r="J22" s="28">
        <f t="shared" si="7"/>
        <v>0</v>
      </c>
      <c r="K22" s="28">
        <f t="shared" si="7"/>
        <v>0</v>
      </c>
      <c r="L22" s="28">
        <f t="shared" si="7"/>
        <v>0</v>
      </c>
      <c r="M22" s="29">
        <f t="shared" si="7"/>
        <v>0</v>
      </c>
      <c r="N22" s="9"/>
    </row>
    <row r="23" spans="3:14" ht="29" x14ac:dyDescent="0.35">
      <c r="C23" s="43" t="s">
        <v>37</v>
      </c>
      <c r="D23" s="30">
        <f>SUM(D16:D17)-SUM(D20:D22)</f>
        <v>3989614</v>
      </c>
      <c r="E23" s="30">
        <f t="shared" ref="E23:M23" si="8">SUM(E16:E17)-SUM(E20:E22)</f>
        <v>5574974.8944079997</v>
      </c>
      <c r="F23" s="30">
        <f t="shared" si="8"/>
        <v>5562107.8523517065</v>
      </c>
      <c r="G23" s="30">
        <f t="shared" si="8"/>
        <v>6938685.0489459354</v>
      </c>
      <c r="H23" s="30">
        <f t="shared" si="8"/>
        <v>7466445.0418176008</v>
      </c>
      <c r="I23" s="30">
        <f t="shared" si="8"/>
        <v>6962646.1844090894</v>
      </c>
      <c r="J23" s="30">
        <f t="shared" si="8"/>
        <v>8198850.0891585546</v>
      </c>
      <c r="K23" s="30">
        <f t="shared" si="8"/>
        <v>9163002.064243244</v>
      </c>
      <c r="L23" s="30">
        <f t="shared" si="8"/>
        <v>10515204.604867749</v>
      </c>
      <c r="M23" s="31">
        <f t="shared" si="8"/>
        <v>11969360.045528131</v>
      </c>
      <c r="N23" s="10"/>
    </row>
    <row r="24" spans="3:14" x14ac:dyDescent="0.35">
      <c r="C24" s="44" t="s">
        <v>24</v>
      </c>
      <c r="D24" s="32">
        <f>D16</f>
        <v>5000000</v>
      </c>
      <c r="E24" s="32">
        <f t="shared" ref="E24:M24" si="9">IF(D27&gt;0,D28,D24)</f>
        <v>5000000</v>
      </c>
      <c r="F24" s="32">
        <f t="shared" si="9"/>
        <v>5000000</v>
      </c>
      <c r="G24" s="32">
        <f t="shared" si="9"/>
        <v>5000000</v>
      </c>
      <c r="H24" s="32">
        <f t="shared" si="9"/>
        <v>6802444.8000000007</v>
      </c>
      <c r="I24" s="32">
        <f t="shared" si="9"/>
        <v>7346640.3840000015</v>
      </c>
      <c r="J24" s="32">
        <f t="shared" si="9"/>
        <v>7346640.3840000015</v>
      </c>
      <c r="K24" s="32">
        <f t="shared" si="9"/>
        <v>7346640.3840000015</v>
      </c>
      <c r="L24" s="32">
        <f t="shared" si="9"/>
        <v>7346640.3840000015</v>
      </c>
      <c r="M24" s="33">
        <f t="shared" si="9"/>
        <v>9995023.1355221663</v>
      </c>
      <c r="N24" s="11"/>
    </row>
    <row r="25" spans="3:14" x14ac:dyDescent="0.35">
      <c r="C25" s="44" t="s">
        <v>35</v>
      </c>
      <c r="D25" s="32">
        <f t="shared" ref="D25:M25" si="10">D16</f>
        <v>5000000</v>
      </c>
      <c r="E25" s="32">
        <f t="shared" si="10"/>
        <v>3989614</v>
      </c>
      <c r="F25" s="32">
        <f t="shared" si="10"/>
        <v>5574974.8944079997</v>
      </c>
      <c r="G25" s="32">
        <f t="shared" si="10"/>
        <v>5562107.8523517065</v>
      </c>
      <c r="H25" s="32">
        <f t="shared" si="10"/>
        <v>6802444.8000000007</v>
      </c>
      <c r="I25" s="32">
        <f t="shared" si="10"/>
        <v>7346640.3840000015</v>
      </c>
      <c r="J25" s="32">
        <f t="shared" si="10"/>
        <v>6962646.1844090894</v>
      </c>
      <c r="K25" s="32">
        <f t="shared" si="10"/>
        <v>8198850.0891585546</v>
      </c>
      <c r="L25" s="32">
        <f t="shared" si="10"/>
        <v>9163002.064243244</v>
      </c>
      <c r="M25" s="33">
        <f t="shared" si="10"/>
        <v>9995023.1355221663</v>
      </c>
      <c r="N25" s="11"/>
    </row>
    <row r="26" spans="3:14" x14ac:dyDescent="0.35">
      <c r="C26" s="44" t="s">
        <v>36</v>
      </c>
      <c r="D26" s="32">
        <f>D16*(1+$D$8)</f>
        <v>5400000</v>
      </c>
      <c r="E26" s="32">
        <f t="shared" ref="E26:M26" si="11">IF(D27&gt;0,D28,D26)*(1+$D$8)</f>
        <v>5832000</v>
      </c>
      <c r="F26" s="32">
        <f t="shared" si="11"/>
        <v>6298560</v>
      </c>
      <c r="G26" s="32">
        <f t="shared" si="11"/>
        <v>6802444.8000000007</v>
      </c>
      <c r="H26" s="32">
        <f t="shared" si="11"/>
        <v>7346640.3840000015</v>
      </c>
      <c r="I26" s="32">
        <f t="shared" si="11"/>
        <v>7934371.6147200018</v>
      </c>
      <c r="J26" s="32">
        <f t="shared" si="11"/>
        <v>8569121.3438976035</v>
      </c>
      <c r="K26" s="32">
        <f t="shared" si="11"/>
        <v>9254651.0514094122</v>
      </c>
      <c r="L26" s="32">
        <f t="shared" si="11"/>
        <v>9995023.1355221663</v>
      </c>
      <c r="M26" s="33">
        <f t="shared" si="11"/>
        <v>10794624.98636394</v>
      </c>
      <c r="N26" s="12"/>
    </row>
    <row r="27" spans="3:14" x14ac:dyDescent="0.35">
      <c r="C27" s="45" t="s">
        <v>25</v>
      </c>
      <c r="D27" s="30">
        <f t="shared" ref="D27:M27" si="12">MAX(0,MIN(D23-D26,(D23-D24)*$D$7))</f>
        <v>0</v>
      </c>
      <c r="E27" s="30">
        <f t="shared" si="12"/>
        <v>0</v>
      </c>
      <c r="F27" s="30">
        <f t="shared" si="12"/>
        <v>0</v>
      </c>
      <c r="G27" s="30">
        <f t="shared" si="12"/>
        <v>136240.2489459347</v>
      </c>
      <c r="H27" s="30">
        <f t="shared" si="12"/>
        <v>119804.65781759936</v>
      </c>
      <c r="I27" s="30">
        <f t="shared" si="12"/>
        <v>0</v>
      </c>
      <c r="J27" s="30">
        <f t="shared" si="12"/>
        <v>0</v>
      </c>
      <c r="K27" s="30">
        <f t="shared" si="12"/>
        <v>0</v>
      </c>
      <c r="L27" s="30">
        <f t="shared" si="12"/>
        <v>520181.46934558265</v>
      </c>
      <c r="M27" s="31">
        <f t="shared" si="12"/>
        <v>394867.38200119289</v>
      </c>
      <c r="N27" s="13"/>
    </row>
    <row r="28" spans="3:14" ht="29" x14ac:dyDescent="0.35">
      <c r="C28" s="41" t="s">
        <v>42</v>
      </c>
      <c r="D28" s="28">
        <f t="shared" ref="D28:M28" si="13">+D23-D27</f>
        <v>3989614</v>
      </c>
      <c r="E28" s="28">
        <f t="shared" si="13"/>
        <v>5574974.8944079997</v>
      </c>
      <c r="F28" s="28">
        <f t="shared" si="13"/>
        <v>5562107.8523517065</v>
      </c>
      <c r="G28" s="28">
        <f t="shared" si="13"/>
        <v>6802444.8000000007</v>
      </c>
      <c r="H28" s="28">
        <f t="shared" si="13"/>
        <v>7346640.3840000015</v>
      </c>
      <c r="I28" s="28">
        <f t="shared" si="13"/>
        <v>6962646.1844090894</v>
      </c>
      <c r="J28" s="28">
        <f t="shared" si="13"/>
        <v>8198850.0891585546</v>
      </c>
      <c r="K28" s="28">
        <f t="shared" si="13"/>
        <v>9163002.064243244</v>
      </c>
      <c r="L28" s="28">
        <f t="shared" si="13"/>
        <v>9995023.1355221663</v>
      </c>
      <c r="M28" s="29">
        <f t="shared" si="13"/>
        <v>11574492.663526937</v>
      </c>
    </row>
    <row r="29" spans="3:14" ht="15" thickBot="1" x14ac:dyDescent="0.4">
      <c r="C29" s="46" t="s">
        <v>26</v>
      </c>
      <c r="D29" s="34">
        <f t="shared" ref="D29:M29" si="14">+D28/D16-1</f>
        <v>-0.20207719999999996</v>
      </c>
      <c r="E29" s="34">
        <f t="shared" si="14"/>
        <v>0.39737199999999984</v>
      </c>
      <c r="F29" s="34">
        <f t="shared" si="14"/>
        <v>-2.3079999999999767E-3</v>
      </c>
      <c r="G29" s="34">
        <f t="shared" si="14"/>
        <v>0.22299764416180268</v>
      </c>
      <c r="H29" s="34">
        <f t="shared" si="14"/>
        <v>8.0000000000000071E-2</v>
      </c>
      <c r="I29" s="34">
        <f t="shared" si="14"/>
        <v>-5.2267999999999981E-2</v>
      </c>
      <c r="J29" s="34">
        <f t="shared" si="14"/>
        <v>0.17754800000000004</v>
      </c>
      <c r="K29" s="34">
        <f t="shared" si="14"/>
        <v>0.11759600000000003</v>
      </c>
      <c r="L29" s="34">
        <f t="shared" si="14"/>
        <v>9.0802235495036632E-2</v>
      </c>
      <c r="M29" s="35">
        <f t="shared" si="14"/>
        <v>0.15802559999999999</v>
      </c>
      <c r="N29" s="1"/>
    </row>
    <row r="32" spans="3:14" x14ac:dyDescent="0.35">
      <c r="C32" s="15" t="s">
        <v>27</v>
      </c>
      <c r="D32" s="18"/>
      <c r="E32" s="18"/>
      <c r="F32" s="18"/>
      <c r="G32" s="18"/>
      <c r="H32" s="18"/>
      <c r="I32" s="18"/>
      <c r="J32" s="18"/>
      <c r="K32" s="18"/>
      <c r="L32" s="18"/>
      <c r="M32" s="18"/>
    </row>
    <row r="33" spans="2:13" x14ac:dyDescent="0.35">
      <c r="B33" s="47">
        <v>1</v>
      </c>
      <c r="C33" s="58" t="s">
        <v>43</v>
      </c>
      <c r="D33" s="58"/>
      <c r="E33" s="58"/>
      <c r="F33" s="58"/>
      <c r="G33" s="58"/>
      <c r="H33" s="58"/>
      <c r="I33" s="58"/>
      <c r="J33" s="58"/>
      <c r="K33" s="58"/>
      <c r="L33" s="58"/>
      <c r="M33" s="58"/>
    </row>
    <row r="34" spans="2:13" ht="29" customHeight="1" x14ac:dyDescent="0.35">
      <c r="B34" s="47">
        <f t="shared" ref="B34:B42" si="15">+B33+1</f>
        <v>2</v>
      </c>
      <c r="C34" s="58" t="s">
        <v>44</v>
      </c>
      <c r="D34" s="58"/>
      <c r="E34" s="58"/>
      <c r="F34" s="58"/>
      <c r="G34" s="58"/>
      <c r="H34" s="58"/>
      <c r="I34" s="58"/>
      <c r="J34" s="58"/>
      <c r="K34" s="58"/>
      <c r="L34" s="58"/>
      <c r="M34" s="58"/>
    </row>
    <row r="35" spans="2:13" ht="14.5" customHeight="1" x14ac:dyDescent="0.35">
      <c r="B35" s="47">
        <f t="shared" si="15"/>
        <v>3</v>
      </c>
      <c r="C35" s="58" t="s">
        <v>28</v>
      </c>
      <c r="D35" s="58"/>
      <c r="E35" s="58"/>
      <c r="F35" s="58"/>
      <c r="G35" s="58"/>
      <c r="H35" s="58"/>
      <c r="I35" s="58"/>
      <c r="J35" s="58"/>
      <c r="K35" s="58"/>
      <c r="L35" s="58"/>
      <c r="M35" s="58"/>
    </row>
    <row r="36" spans="2:13" x14ac:dyDescent="0.35">
      <c r="B36" s="47">
        <f t="shared" si="15"/>
        <v>4</v>
      </c>
      <c r="C36" s="58" t="s">
        <v>29</v>
      </c>
      <c r="D36" s="58"/>
      <c r="E36" s="58"/>
      <c r="F36" s="58"/>
      <c r="G36" s="58"/>
      <c r="H36" s="58"/>
      <c r="I36" s="58"/>
      <c r="J36" s="58"/>
      <c r="K36" s="58"/>
      <c r="L36" s="58"/>
      <c r="M36" s="58"/>
    </row>
    <row r="37" spans="2:13" ht="43.5" customHeight="1" x14ac:dyDescent="0.35">
      <c r="B37" s="47">
        <f t="shared" si="15"/>
        <v>5</v>
      </c>
      <c r="C37" s="58" t="s">
        <v>45</v>
      </c>
      <c r="D37" s="58"/>
      <c r="E37" s="58"/>
      <c r="F37" s="58"/>
      <c r="G37" s="58"/>
      <c r="H37" s="58"/>
      <c r="I37" s="58"/>
      <c r="J37" s="58"/>
      <c r="K37" s="58"/>
      <c r="L37" s="58"/>
      <c r="M37" s="58"/>
    </row>
    <row r="38" spans="2:13" ht="14.5" customHeight="1" x14ac:dyDescent="0.35">
      <c r="B38" s="47">
        <f t="shared" si="15"/>
        <v>6</v>
      </c>
      <c r="C38" s="58" t="s">
        <v>30</v>
      </c>
      <c r="D38" s="58"/>
      <c r="E38" s="58"/>
      <c r="F38" s="58"/>
      <c r="G38" s="58"/>
      <c r="H38" s="58"/>
      <c r="I38" s="58"/>
      <c r="J38" s="58"/>
      <c r="K38" s="58"/>
      <c r="L38" s="58"/>
      <c r="M38" s="58"/>
    </row>
    <row r="39" spans="2:13" ht="31" customHeight="1" x14ac:dyDescent="0.35">
      <c r="B39" s="47">
        <f t="shared" si="15"/>
        <v>7</v>
      </c>
      <c r="C39" s="58" t="s">
        <v>46</v>
      </c>
      <c r="D39" s="58"/>
      <c r="E39" s="58"/>
      <c r="F39" s="58"/>
      <c r="G39" s="58"/>
      <c r="H39" s="58"/>
      <c r="I39" s="58"/>
      <c r="J39" s="58"/>
      <c r="K39" s="58"/>
      <c r="L39" s="58"/>
      <c r="M39" s="58"/>
    </row>
    <row r="40" spans="2:13" ht="31" customHeight="1" x14ac:dyDescent="0.35">
      <c r="B40" s="47">
        <f t="shared" si="15"/>
        <v>8</v>
      </c>
      <c r="C40" s="58" t="s">
        <v>47</v>
      </c>
      <c r="D40" s="58"/>
      <c r="E40" s="58"/>
      <c r="F40" s="58"/>
      <c r="G40" s="58"/>
      <c r="H40" s="58"/>
      <c r="I40" s="58"/>
      <c r="J40" s="58"/>
      <c r="K40" s="58"/>
      <c r="L40" s="58"/>
      <c r="M40" s="58"/>
    </row>
    <row r="41" spans="2:13" x14ac:dyDescent="0.35">
      <c r="B41" s="47">
        <f t="shared" si="15"/>
        <v>9</v>
      </c>
      <c r="C41" s="58" t="s">
        <v>48</v>
      </c>
      <c r="D41" s="58"/>
      <c r="E41" s="58"/>
      <c r="F41" s="58"/>
      <c r="G41" s="58"/>
      <c r="H41" s="58"/>
      <c r="I41" s="58"/>
      <c r="J41" s="58"/>
      <c r="K41" s="58"/>
      <c r="L41" s="58"/>
      <c r="M41" s="58"/>
    </row>
    <row r="42" spans="2:13" x14ac:dyDescent="0.35">
      <c r="B42" s="47">
        <f t="shared" si="15"/>
        <v>10</v>
      </c>
      <c r="C42" s="58" t="s">
        <v>49</v>
      </c>
      <c r="D42" s="58"/>
      <c r="E42" s="58"/>
      <c r="F42" s="58"/>
      <c r="G42" s="58"/>
      <c r="H42" s="58"/>
      <c r="I42" s="58"/>
      <c r="J42" s="58"/>
      <c r="K42" s="58"/>
      <c r="L42" s="58"/>
      <c r="M42" s="58"/>
    </row>
  </sheetData>
  <mergeCells count="13">
    <mergeCell ref="C1:M1"/>
    <mergeCell ref="C2:M2"/>
    <mergeCell ref="C41:M41"/>
    <mergeCell ref="C42:M42"/>
    <mergeCell ref="E7:H7"/>
    <mergeCell ref="C33:M33"/>
    <mergeCell ref="C34:M34"/>
    <mergeCell ref="C35:M35"/>
    <mergeCell ref="C36:M36"/>
    <mergeCell ref="C37:M37"/>
    <mergeCell ref="C38:M38"/>
    <mergeCell ref="C39:M39"/>
    <mergeCell ref="C40:M40"/>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6a0980-7a51-4c9c-91c0-032850369c05">
      <Terms xmlns="http://schemas.microsoft.com/office/infopath/2007/PartnerControls"/>
    </lcf76f155ced4ddcb4097134ff3c332f>
    <TaxCatchAll xmlns="031f7b35-35a8-4288-a9fc-13fc3394a6b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F658CFCA1C2444B3A41FBEDE590EF1" ma:contentTypeVersion="15" ma:contentTypeDescription="Create a new document." ma:contentTypeScope="" ma:versionID="47fb2082d1c1bc8e19b81f470c6d502c">
  <xsd:schema xmlns:xsd="http://www.w3.org/2001/XMLSchema" xmlns:xs="http://www.w3.org/2001/XMLSchema" xmlns:p="http://schemas.microsoft.com/office/2006/metadata/properties" xmlns:ns2="1c6a0980-7a51-4c9c-91c0-032850369c05" xmlns:ns3="031f7b35-35a8-4288-a9fc-13fc3394a6b1" targetNamespace="http://schemas.microsoft.com/office/2006/metadata/properties" ma:root="true" ma:fieldsID="c7ce6785c0261bd6092b83dbb4f7f58b" ns2:_="" ns3:_="">
    <xsd:import namespace="1c6a0980-7a51-4c9c-91c0-032850369c05"/>
    <xsd:import namespace="031f7b35-35a8-4288-a9fc-13fc3394a6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a0980-7a51-4c9c-91c0-032850369c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bb7a4f7-5c1b-4f5d-9bda-ed4f527c386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1f7b35-35a8-4288-a9fc-13fc3394a6b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81be328-53cc-411c-8431-0562e110e4d4}" ma:internalName="TaxCatchAll" ma:showField="CatchAllData" ma:web="031f7b35-35a8-4288-a9fc-13fc3394a6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7A6F91-C105-409E-9ED0-18B7240B17EC}">
  <ds:schemaRefs>
    <ds:schemaRef ds:uri="http://schemas.microsoft.com/office/2006/metadata/properties"/>
    <ds:schemaRef ds:uri="http://schemas.microsoft.com/office/infopath/2007/PartnerControls"/>
    <ds:schemaRef ds:uri="1c6a0980-7a51-4c9c-91c0-032850369c05"/>
    <ds:schemaRef ds:uri="031f7b35-35a8-4288-a9fc-13fc3394a6b1"/>
    <ds:schemaRef ds:uri="http://www.w3.org/2001/XMLSchema-instance"/>
  </ds:schemaRefs>
</ds:datastoreItem>
</file>

<file path=customXml/itemProps2.xml><?xml version="1.0" encoding="utf-8"?>
<ds:datastoreItem xmlns:ds="http://schemas.openxmlformats.org/officeDocument/2006/customXml" ds:itemID="{C63B98C6-6675-465F-A72B-E9A8074D1D05}">
  <ds:schemaRefs>
    <ds:schemaRef ds:uri="http://schemas.microsoft.com/sharepoint/v3/contenttype/forms"/>
  </ds:schemaRefs>
</ds:datastoreItem>
</file>

<file path=customXml/itemProps3.xml><?xml version="1.0" encoding="utf-8"?>
<ds:datastoreItem xmlns:ds="http://schemas.openxmlformats.org/officeDocument/2006/customXml" ds:itemID="{3B535FF2-79E8-4815-A868-F7EA1BB6E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6a0980-7a51-4c9c-91c0-032850369c05"/>
    <ds:schemaRef ds:uri="031f7b35-35a8-4288-a9fc-13fc3394a6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www.w3.org/2001/XMLSchema-instan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Coffee Can fees</vt:lpstr>
      <vt:lpstr>Performance Fee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sumitb</dc:creator>
  <cp:lastModifiedBy>Aanchal Goenka</cp:lastModifiedBy>
  <cp:revision>3</cp:revision>
  <dcterms:created xsi:type="dcterms:W3CDTF">2018-04-13T09:28:43Z</dcterms:created>
  <dcterms:modified xsi:type="dcterms:W3CDTF">2025-12-23T10:32:22Z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0x01010072F658CFCA1C2444B3A41FBEDE590EF1</vt:lpwstr>
  </property>
  <property fmtid="{D5CDD505-2E9C-101B-9397-08002B2CF9AE}" pid="3" name="MediaServiceImageTags">
    <vt:lpwstr/>
  </property>
</Properties>
</file>